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Projection" sheetId="2" state="visible" r:id="rId4"/>
    <sheet name="Sensitivity" sheetId="3" state="visible" r:id="rId5"/>
    <sheet name="Subscrip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<sst xmlns="http://schemas.openxmlformats.org/spreadsheetml/2006/main" count="147" uniqueCount="143">
  <si>
    <t xml:space="preserve">Chairlift — Business Model</t>
  </si>
  <si>
    <t xml:space="preserve">Ride it forward.</t>
  </si>
  <si>
    <t xml:space="preserve">Business model — weekly volume driver  |  Fee = greater of $5 or 10% of item price</t>
  </si>
  <si>
    <t xml:space="preserve">KEY LEVER</t>
  </si>
  <si>
    <t xml:space="preserve">Items sold per week</t>
  </si>
  <si>
    <t xml:space="preserve">&lt;- change this</t>
  </si>
  <si>
    <t xml:space="preserve">FEE STRUCTURE (platform take)</t>
  </si>
  <si>
    <t xml:space="preserve">Minimum platform fee ($/item)</t>
  </si>
  <si>
    <t xml:space="preserve">Percentage fee (on item price)</t>
  </si>
  <si>
    <t xml:space="preserve">Fee crossover price (min ÷ %)</t>
  </si>
  <si>
    <t xml:space="preserve">below = $5 min, above = 10%</t>
  </si>
  <si>
    <t xml:space="preserve">PRICE TIER MIX</t>
  </si>
  <si>
    <t xml:space="preserve">Tier</t>
  </si>
  <si>
    <t xml:space="preserve">Avg item price</t>
  </si>
  <si>
    <t xml:space="preserve">% of items</t>
  </si>
  <si>
    <t xml:space="preserve">Fee per item</t>
  </si>
  <si>
    <t xml:space="preserve">Effective take %</t>
  </si>
  <si>
    <t xml:space="preserve">Low (used clothing, small items)</t>
  </si>
  <si>
    <t xml:space="preserve">Mid (outfits, bundles)</t>
  </si>
  <si>
    <t xml:space="preserve">Upper (quality gear, shoes)</t>
  </si>
  <si>
    <t xml:space="preserve">Premium (strollers, furniture)</t>
  </si>
  <si>
    <t xml:space="preserve">Weighted average / total</t>
  </si>
  <si>
    <t xml:space="preserve">(% of items should total 100%)</t>
  </si>
  <si>
    <t xml:space="preserve">COST ASSUMPTIONS</t>
  </si>
  <si>
    <t xml:space="preserve">Payment processing (% of GMV)</t>
  </si>
  <si>
    <t xml:space="preserve">Payment processing ($/transaction)</t>
  </si>
  <si>
    <t xml:space="preserve">Other variable cost ($/item)</t>
  </si>
  <si>
    <t xml:space="preserve">support, shipping labels, etc.</t>
  </si>
  <si>
    <t xml:space="preserve">Hosting &amp; tools ($/month)</t>
  </si>
  <si>
    <t xml:space="preserve">servers, domain, SaaS tools</t>
  </si>
  <si>
    <t xml:space="preserve">Advertising &amp; marketing ($/mo per 100 items/wk)</t>
  </si>
  <si>
    <t xml:space="preserve">scales with volume: $1k per 100 items/wk</t>
  </si>
  <si>
    <t xml:space="preserve">Ongoing development ($/mo, scaled)</t>
  </si>
  <si>
    <t xml:space="preserve">scales with fee revenue — floor/cap/% set in Capital section</t>
  </si>
  <si>
    <t xml:space="preserve">PROFIT &amp; LOSS</t>
  </si>
  <si>
    <t xml:space="preserve">Per week</t>
  </si>
  <si>
    <t xml:space="preserve">Per month</t>
  </si>
  <si>
    <t xml:space="preserve">Per year</t>
  </si>
  <si>
    <t xml:space="preserve">Items sold</t>
  </si>
  <si>
    <t xml:space="preserve">GMV (gross merchandise value)</t>
  </si>
  <si>
    <t xml:space="preserve">Platform fee revenue</t>
  </si>
  <si>
    <t xml:space="preserve">Costs</t>
  </si>
  <si>
    <t xml:space="preserve">  Payment processing</t>
  </si>
  <si>
    <t xml:space="preserve">  Other variable cost</t>
  </si>
  <si>
    <t xml:space="preserve">  Hosting &amp; tools</t>
  </si>
  <si>
    <t xml:space="preserve">  Ongoing development</t>
  </si>
  <si>
    <t xml:space="preserve">  Advertising &amp; marketing</t>
  </si>
  <si>
    <t xml:space="preserve">Total costs</t>
  </si>
  <si>
    <t xml:space="preserve">NET PROFIT</t>
  </si>
  <si>
    <t xml:space="preserve">Net margin (% of revenue)</t>
  </si>
  <si>
    <t xml:space="preserve">Blended take rate (rev ÷ GMV)</t>
  </si>
  <si>
    <t xml:space="preserve">Breakeven items / week</t>
  </si>
  <si>
    <t xml:space="preserve">(hosting + dev) ÷ contribution per item</t>
  </si>
  <si>
    <t xml:space="preserve">Contribution per item (incl. scaled marketing)</t>
  </si>
  <si>
    <t xml:space="preserve">Yellow cells are inputs — edit them. Weekly = as entered; monthly = ×4.333; annual = ×52.</t>
  </si>
  <si>
    <t xml:space="preserve">CAPITAL &amp; GROWTH INVESTMENT (shown separately — not in the operating P&amp;L above)</t>
  </si>
  <si>
    <t xml:space="preserve">One-time platform build ($)</t>
  </si>
  <si>
    <t xml:space="preserve">paid up front — capital, not a monthly cost</t>
  </si>
  <si>
    <t xml:space="preserve">Development — % of fee revenue</t>
  </si>
  <si>
    <t xml:space="preserve">scales engineering spend with the business</t>
  </si>
  <si>
    <t xml:space="preserve">Development — floor ($/month)</t>
  </si>
  <si>
    <t xml:space="preserve">minimum to maintain a solid MVP</t>
  </si>
  <si>
    <t xml:space="preserve">Development — cap ($/month)</t>
  </si>
  <si>
    <t xml:space="preserve">ceiling for heavy feature phases</t>
  </si>
  <si>
    <t xml:space="preserve">Total upfront capital (build + peak operating loss)</t>
  </si>
  <si>
    <t xml:space="preserve">one-time $15k plus the deepest cumulative operating loss</t>
  </si>
  <si>
    <t xml:space="preserve">Ongoing development is now an operating cost line in the P&amp;L above; build is one-time capital.</t>
  </si>
  <si>
    <t xml:space="preserve">Monthly Projection — path to profitability</t>
  </si>
  <si>
    <t xml:space="preserve">Items/week grow monthly from the Model tab volume. Fee, mix and cost assumptions come from the Model tab.</t>
  </si>
  <si>
    <t xml:space="preserve">Starting items / week</t>
  </si>
  <si>
    <t xml:space="preserve">Growth per month</t>
  </si>
  <si>
    <t xml:space="preserve">assumption: steady marketing-driven growth (user input)</t>
  </si>
  <si>
    <t xml:space="preserve">Month</t>
  </si>
  <si>
    <t xml:space="preserve">Items / week</t>
  </si>
  <si>
    <t xml:space="preserve">Items / month</t>
  </si>
  <si>
    <t xml:space="preserve">GMV</t>
  </si>
  <si>
    <t xml:space="preserve">Fee revenue</t>
  </si>
  <si>
    <t xml:space="preserve">Processing</t>
  </si>
  <si>
    <t xml:space="preserve">Other variable</t>
  </si>
  <si>
    <t xml:space="preserve">Fixed &amp; dev</t>
  </si>
  <si>
    <t xml:space="preserve">Marketing</t>
  </si>
  <si>
    <t xml:space="preserve">Net profit</t>
  </si>
  <si>
    <t xml:space="preserve">Cumulative</t>
  </si>
  <si>
    <t xml:space="preserve">Profitability = first month net profit turns positive. Subscription MRR (Subscription tab) is additional upside not included above.</t>
  </si>
  <si>
    <t xml:space="preserve">Sensitivity — items sold per week</t>
  </si>
  <si>
    <t xml:space="preserve">Uses the fee, mix and cost assumptions on the Model tab. Change scenarios here freely.</t>
  </si>
  <si>
    <t xml:space="preserve">Monthly items</t>
  </si>
  <si>
    <t xml:space="preserve">Monthly GMV</t>
  </si>
  <si>
    <t xml:space="preserve">Monthly revenue</t>
  </si>
  <si>
    <t xml:space="preserve">Monthly processing</t>
  </si>
  <si>
    <t xml:space="preserve">Monthly other var</t>
  </si>
  <si>
    <t xml:space="preserve">Monthly fixed &amp; dev</t>
  </si>
  <si>
    <t xml:space="preserve">Monthly marketing</t>
  </si>
  <si>
    <t xml:space="preserve">Monthly NET PROFIT</t>
  </si>
  <si>
    <t xml:space="preserve">Annual NET PROFIT</t>
  </si>
  <si>
    <t xml:space="preserve">Blue-gray links point to the Model tab's assumptions. Marketing scales: $1k per 100 items/wk.</t>
  </si>
  <si>
    <t xml:space="preserve">Seller Subscriptions</t>
  </si>
  <si>
    <t xml:space="preserve">Layered on top of the transaction fee. Items/week still set on the Model tab.</t>
  </si>
  <si>
    <t xml:space="preserve">SELLER BASE &amp; PRICING</t>
  </si>
  <si>
    <t xml:space="preserve">Total sellers on platform</t>
  </si>
  <si>
    <t xml:space="preserve">  % on Free (Casual)</t>
  </si>
  <si>
    <t xml:space="preserve">  % on Store / Pro</t>
  </si>
  <si>
    <t xml:space="preserve">  % on Power Seller</t>
  </si>
  <si>
    <t xml:space="preserve">  (tiers should total 100%)</t>
  </si>
  <si>
    <t xml:space="preserve">Pro price ($/month)</t>
  </si>
  <si>
    <t xml:space="preserve">Power price ($/month)</t>
  </si>
  <si>
    <t xml:space="preserve">ITEM SHARE &amp; FEES BY SELLER TIER</t>
  </si>
  <si>
    <t xml:space="preserve">% of items sold — Free sellers</t>
  </si>
  <si>
    <t xml:space="preserve">% of items sold — Pro sellers</t>
  </si>
  <si>
    <t xml:space="preserve">% of items sold — Power sellers</t>
  </si>
  <si>
    <t xml:space="preserve">  (item shares should total 100%)</t>
  </si>
  <si>
    <t xml:space="preserve">Pro discounted fee (% of price, no min)</t>
  </si>
  <si>
    <t xml:space="preserve">Power discounted fee (% of price, no min)</t>
  </si>
  <si>
    <t xml:space="preserve">RECURRING REVENUE (MRR)</t>
  </si>
  <si>
    <t xml:space="preserve">Pro subscribers</t>
  </si>
  <si>
    <t xml:space="preserve">Power subscribers</t>
  </si>
  <si>
    <t xml:space="preserve">Monthly recurring revenue (MRR)</t>
  </si>
  <si>
    <t xml:space="preserve">Annual subscription revenue</t>
  </si>
  <si>
    <t xml:space="preserve">Standard fee per item (from Model)</t>
  </si>
  <si>
    <t xml:space="preserve">Pro fee per item (disc.)</t>
  </si>
  <si>
    <t xml:space="preserve">Power fee per item (disc.)</t>
  </si>
  <si>
    <t xml:space="preserve">Monthly items — Free</t>
  </si>
  <si>
    <t xml:space="preserve">Monthly items — Pro</t>
  </si>
  <si>
    <t xml:space="preserve">Monthly items — Power</t>
  </si>
  <si>
    <t xml:space="preserve">SCENARIO COMPARISON (monthly)</t>
  </si>
  <si>
    <t xml:space="preserve">Baseline</t>
  </si>
  <si>
    <t xml:space="preserve">A: Disc. fee</t>
  </si>
  <si>
    <t xml:space="preserve">B: Add-on</t>
  </si>
  <si>
    <t xml:space="preserve">C: Fee-free</t>
  </si>
  <si>
    <t xml:space="preserve">(no sub)</t>
  </si>
  <si>
    <t xml:space="preserve">subs pay less</t>
  </si>
  <si>
    <t xml:space="preserve">all pay same</t>
  </si>
  <si>
    <t xml:space="preserve">subs pay $0 fee</t>
  </si>
  <si>
    <t xml:space="preserve">Subscription MRR</t>
  </si>
  <si>
    <t xml:space="preserve">Transaction fee revenue</t>
  </si>
  <si>
    <t xml:space="preserve">Total revenue</t>
  </si>
  <si>
    <t xml:space="preserve">NET PROFIT (monthly)</t>
  </si>
  <si>
    <t xml:space="preserve">Net profit (annual)</t>
  </si>
  <si>
    <t xml:space="preserve">Annual gain vs baseline</t>
  </si>
  <si>
    <t xml:space="preserve">—</t>
  </si>
  <si>
    <t xml:space="preserve">How to read: Baseline = today's pure transaction fee. A discounts subscribers' fees (realistic).</t>
  </si>
  <si>
    <t xml:space="preserve">B keeps fees flat and adds MRR on top (optimistic). C waives subscriber fees entirely.</t>
  </si>
  <si>
    <t xml:space="preserve">Blue-gray cells link to the Model tab. Yellow cells are inputs. Costs are identical across scenarios.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</si>
</sst>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#,##0.00"/>
    <numFmt numFmtId="167" formatCode="0.0%"/>
    <numFmt numFmtId="168" formatCode="\$#,##0"/>
    <numFmt numFmtId="169" formatCode="\$#,##0;&quot;($&quot;#,##0\)"/>
    <numFmt numFmtId="170" formatCode="0%"/>
    <numFmt numFmtId="171" formatCode="\$#,##0;&quot;($&quot;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2E2E2E"/>
      <name val="Arial"/>
      <family val="0"/>
      <charset val="1"/>
    </font>
    <font>
      <b val="true"/>
      <sz val="18"/>
      <color rgb="FFE4572E"/>
      <name val="Arial"/>
      <family val="0"/>
      <charset val="1"/>
    </font>
    <font>
      <b val="true"/>
      <i val="true"/>
      <sz val="10"/>
      <color rgb="FFE4572E"/>
      <name val="Arial"/>
      <family val="0"/>
      <charset val="1"/>
    </font>
    <font>
      <i val="true"/>
      <sz val="10"/>
      <color rgb="FF2E2E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2E2E2E"/>
      <name val="Arial"/>
      <family val="0"/>
      <charset val="1"/>
    </font>
    <font>
      <sz val="10"/>
      <color rgb="FF2E2E2E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1"/>
      <color rgb="FF2E2E2E"/>
      <name val="Arial"/>
      <family val="0"/>
      <charset val="1"/>
    </font>
    <font>
      <b val="true"/>
      <sz val="16"/>
      <color rgb="FFE4572E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E2E2E"/>
        <bgColor rgb="FF333300"/>
      </patternFill>
    </fill>
    <fill>
      <patternFill patternType="solid">
        <fgColor rgb="FFF2C511"/>
        <bgColor rgb="FFFF9900"/>
      </patternFill>
    </fill>
    <fill>
      <patternFill patternType="solid">
        <fgColor rgb="FFD9C7E8"/>
        <bgColor rgb="FFCDD9DF"/>
      </patternFill>
    </fill>
    <fill>
      <patternFill patternType="solid">
        <fgColor rgb="FFF0EFEC"/>
        <bgColor rgb="FFFFFFFF"/>
      </patternFill>
    </fill>
    <fill>
      <patternFill patternType="solid">
        <fgColor rgb="FFCDD9DF"/>
        <bgColor rgb="FFD9C7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0EFEC"/>
      <rgbColor rgb="FFCCFFFF"/>
      <rgbColor rgb="FF660066"/>
      <rgbColor rgb="FFFF8080"/>
      <rgbColor rgb="FF0066CC"/>
      <rgbColor rgb="FFD9C7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DD9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2C511"/>
      <rgbColor rgb="FFFF9900"/>
      <rgbColor rgb="FFE4572E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E2E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6" min="3" style="1" width="16"/>
    <col collapsed="false" customWidth="true" hidden="false" outlineLevel="0" max="7" min="7" style="1" width="3"/>
  </cols>
  <sheetData>
    <row r="1" customFormat="false" ht="19.5" hidden="false" customHeight="true" outlineLevel="0" collapsed="false">
      <c r="A1" s="2"/>
      <c r="B1" s="3" t="s">
        <v>0</v>
      </c>
      <c r="C1" s="2"/>
      <c r="D1" s="4" t="s">
        <v>1</v>
      </c>
      <c r="E1" s="2"/>
      <c r="F1" s="2"/>
    </row>
    <row r="2" customFormat="false" ht="15" hidden="false" customHeight="true" outlineLevel="0" collapsed="false">
      <c r="A2" s="2"/>
      <c r="B2" s="5" t="s">
        <v>2</v>
      </c>
      <c r="C2" s="2"/>
      <c r="D2" s="2"/>
      <c r="E2" s="2"/>
      <c r="F2" s="2"/>
    </row>
    <row r="3" customFormat="false" ht="15" hidden="false" customHeight="true" outlineLevel="0" collapsed="false">
      <c r="A3" s="2"/>
      <c r="B3" s="2"/>
      <c r="C3" s="2"/>
      <c r="D3" s="2"/>
      <c r="E3" s="2"/>
      <c r="F3" s="2"/>
    </row>
    <row r="4" customFormat="false" ht="15" hidden="false" customHeight="true" outlineLevel="0" collapsed="false">
      <c r="A4" s="2"/>
      <c r="B4" s="6" t="s">
        <v>3</v>
      </c>
      <c r="C4" s="7"/>
      <c r="D4" s="7"/>
      <c r="E4" s="7"/>
      <c r="F4" s="7"/>
    </row>
    <row r="5" customFormat="false" ht="15" hidden="false" customHeight="true" outlineLevel="0" collapsed="false">
      <c r="A5" s="2"/>
      <c r="B5" s="8" t="s">
        <v>4</v>
      </c>
      <c r="C5" s="9" t="n">
        <v>100</v>
      </c>
      <c r="D5" s="5" t="s">
        <v>5</v>
      </c>
      <c r="E5" s="2"/>
      <c r="F5" s="2"/>
    </row>
    <row r="6" customFormat="false" ht="15" hidden="false" customHeight="true" outlineLevel="0" collapsed="false">
      <c r="A6" s="2"/>
      <c r="B6" s="2"/>
      <c r="C6" s="2"/>
      <c r="D6" s="2"/>
      <c r="E6" s="2"/>
      <c r="F6" s="2"/>
    </row>
    <row r="7" customFormat="false" ht="15" hidden="false" customHeight="true" outlineLevel="0" collapsed="false">
      <c r="A7" s="2"/>
      <c r="B7" s="6" t="s">
        <v>6</v>
      </c>
      <c r="C7" s="7"/>
      <c r="D7" s="7"/>
      <c r="E7" s="7"/>
      <c r="F7" s="7"/>
    </row>
    <row r="8" customFormat="false" ht="15" hidden="false" customHeight="true" outlineLevel="0" collapsed="false">
      <c r="A8" s="2"/>
      <c r="B8" s="10" t="s">
        <v>7</v>
      </c>
      <c r="C8" s="11" t="n">
        <v>5</v>
      </c>
      <c r="D8" s="2"/>
      <c r="E8" s="2"/>
      <c r="F8" s="2"/>
    </row>
    <row r="9" customFormat="false" ht="15" hidden="false" customHeight="true" outlineLevel="0" collapsed="false">
      <c r="A9" s="2"/>
      <c r="B9" s="10" t="s">
        <v>8</v>
      </c>
      <c r="C9" s="12" t="n">
        <v>0.1</v>
      </c>
      <c r="D9" s="2"/>
      <c r="E9" s="2"/>
      <c r="F9" s="2"/>
    </row>
    <row r="10" customFormat="false" ht="15" hidden="false" customHeight="true" outlineLevel="0" collapsed="false">
      <c r="A10" s="2"/>
      <c r="B10" s="10" t="s">
        <v>9</v>
      </c>
      <c r="C10" s="13" t="n">
        <f aca="false">C8/C9</f>
        <v>50</v>
      </c>
      <c r="D10" s="5" t="s">
        <v>10</v>
      </c>
      <c r="E10" s="2"/>
      <c r="F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</row>
    <row r="12" customFormat="false" ht="15" hidden="false" customHeight="true" outlineLevel="0" collapsed="false">
      <c r="A12" s="2"/>
      <c r="B12" s="6" t="s">
        <v>11</v>
      </c>
      <c r="C12" s="7"/>
      <c r="D12" s="7"/>
      <c r="E12" s="7"/>
      <c r="F12" s="7"/>
    </row>
    <row r="13" customFormat="false" ht="15" hidden="false" customHeight="true" outlineLevel="0" collapsed="false">
      <c r="A13" s="2"/>
      <c r="B13" s="14" t="s">
        <v>12</v>
      </c>
      <c r="C13" s="15" t="s">
        <v>13</v>
      </c>
      <c r="D13" s="15" t="s">
        <v>14</v>
      </c>
      <c r="E13" s="15" t="s">
        <v>15</v>
      </c>
      <c r="F13" s="15" t="s">
        <v>16</v>
      </c>
    </row>
    <row r="14" customFormat="false" ht="15" hidden="false" customHeight="true" outlineLevel="0" collapsed="false">
      <c r="A14" s="2"/>
      <c r="B14" s="16" t="s">
        <v>17</v>
      </c>
      <c r="C14" s="11" t="n">
        <v>15</v>
      </c>
      <c r="D14" s="12" t="n">
        <v>0.4</v>
      </c>
      <c r="E14" s="13" t="n">
        <f aca="false">MAX(C8,C9*C14)</f>
        <v>5</v>
      </c>
      <c r="F14" s="17" t="n">
        <f aca="false">E14/C14</f>
        <v>0.333333333333333</v>
      </c>
    </row>
    <row r="15" customFormat="false" ht="15" hidden="false" customHeight="true" outlineLevel="0" collapsed="false">
      <c r="A15" s="2"/>
      <c r="B15" s="18" t="s">
        <v>18</v>
      </c>
      <c r="C15" s="11" t="n">
        <v>35</v>
      </c>
      <c r="D15" s="12" t="n">
        <v>0.3</v>
      </c>
      <c r="E15" s="19" t="n">
        <f aca="false">MAX(C8,C9*C15)</f>
        <v>5</v>
      </c>
      <c r="F15" s="20" t="n">
        <f aca="false">E15/C15</f>
        <v>0.142857142857143</v>
      </c>
    </row>
    <row r="16" customFormat="false" ht="15" hidden="false" customHeight="true" outlineLevel="0" collapsed="false">
      <c r="A16" s="2"/>
      <c r="B16" s="16" t="s">
        <v>19</v>
      </c>
      <c r="C16" s="11" t="n">
        <v>75</v>
      </c>
      <c r="D16" s="12" t="n">
        <v>0.2</v>
      </c>
      <c r="E16" s="13" t="n">
        <f aca="false">MAX(C8,C9*C16)</f>
        <v>7.5</v>
      </c>
      <c r="F16" s="17" t="n">
        <f aca="false">E16/C16</f>
        <v>0.1</v>
      </c>
    </row>
    <row r="17" customFormat="false" ht="15" hidden="false" customHeight="true" outlineLevel="0" collapsed="false">
      <c r="A17" s="2"/>
      <c r="B17" s="18" t="s">
        <v>20</v>
      </c>
      <c r="C17" s="11" t="n">
        <v>150</v>
      </c>
      <c r="D17" s="12" t="n">
        <v>0.1</v>
      </c>
      <c r="E17" s="19" t="n">
        <f aca="false">MAX(C8,C9*C17)</f>
        <v>15</v>
      </c>
      <c r="F17" s="20" t="n">
        <f aca="false">E17/C17</f>
        <v>0.1</v>
      </c>
    </row>
    <row r="18" customFormat="false" ht="15" hidden="false" customHeight="true" outlineLevel="0" collapsed="false">
      <c r="A18" s="2"/>
      <c r="B18" s="14" t="s">
        <v>21</v>
      </c>
      <c r="C18" s="21" t="n">
        <f aca="false">SUMPRODUCT(C14:C17,D14:D17)</f>
        <v>46.5</v>
      </c>
      <c r="D18" s="22" t="n">
        <f aca="false">SUM(D14:D17)</f>
        <v>1</v>
      </c>
      <c r="E18" s="21" t="n">
        <f aca="false">SUMPRODUCT(E14:E17,D14:D17)</f>
        <v>6.5</v>
      </c>
      <c r="F18" s="22" t="n">
        <f aca="false">E18/C18</f>
        <v>0.139784946236559</v>
      </c>
    </row>
    <row r="19" customFormat="false" ht="15" hidden="false" customHeight="true" outlineLevel="0" collapsed="false">
      <c r="A19" s="2"/>
      <c r="B19" s="5" t="s">
        <v>22</v>
      </c>
      <c r="C19" s="2"/>
      <c r="D19" s="2"/>
      <c r="E19" s="2"/>
      <c r="F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</row>
    <row r="21" customFormat="false" ht="15" hidden="false" customHeight="true" outlineLevel="0" collapsed="false">
      <c r="A21" s="2"/>
      <c r="B21" s="6" t="s">
        <v>23</v>
      </c>
      <c r="C21" s="7"/>
      <c r="D21" s="7"/>
      <c r="E21" s="7"/>
      <c r="F21" s="7"/>
    </row>
    <row r="22" customFormat="false" ht="15" hidden="false" customHeight="true" outlineLevel="0" collapsed="false">
      <c r="A22" s="2"/>
      <c r="B22" s="10" t="s">
        <v>24</v>
      </c>
      <c r="C22" s="12" t="n">
        <v>0.029</v>
      </c>
      <c r="D22" s="2"/>
      <c r="E22" s="2"/>
      <c r="F22" s="2"/>
    </row>
    <row r="23" customFormat="false" ht="15" hidden="false" customHeight="true" outlineLevel="0" collapsed="false">
      <c r="A23" s="2"/>
      <c r="B23" s="10" t="s">
        <v>25</v>
      </c>
      <c r="C23" s="11" t="n">
        <v>0.3</v>
      </c>
      <c r="D23" s="2"/>
      <c r="E23" s="2"/>
      <c r="F23" s="2"/>
    </row>
    <row r="24" customFormat="false" ht="15" hidden="false" customHeight="true" outlineLevel="0" collapsed="false">
      <c r="A24" s="2"/>
      <c r="B24" s="10" t="s">
        <v>26</v>
      </c>
      <c r="C24" s="11" t="n">
        <v>0.25</v>
      </c>
      <c r="D24" s="5" t="s">
        <v>27</v>
      </c>
      <c r="E24" s="2"/>
      <c r="F24" s="2"/>
    </row>
    <row r="25" customFormat="false" ht="15" hidden="false" customHeight="true" outlineLevel="0" collapsed="false">
      <c r="A25" s="2"/>
      <c r="B25" s="10" t="s">
        <v>28</v>
      </c>
      <c r="C25" s="23" t="n">
        <v>250</v>
      </c>
      <c r="D25" s="24" t="s">
        <v>29</v>
      </c>
      <c r="E25" s="2"/>
      <c r="F25" s="2"/>
    </row>
    <row r="26" customFormat="false" ht="15" hidden="false" customHeight="true" outlineLevel="0" collapsed="false">
      <c r="A26" s="2"/>
      <c r="B26" s="10" t="s">
        <v>30</v>
      </c>
      <c r="C26" s="23" t="n">
        <v>1000</v>
      </c>
      <c r="D26" s="2" t="s">
        <v>31</v>
      </c>
      <c r="E26" s="2"/>
      <c r="F26" s="2"/>
    </row>
    <row r="27" customFormat="false" ht="15" hidden="false" customHeight="true" outlineLevel="0" collapsed="false">
      <c r="A27" s="2"/>
      <c r="B27" s="2" t="s">
        <v>32</v>
      </c>
      <c r="C27" s="25" t="n">
        <f aca="false">MIN(C53,MAX(C52,C51*D31))</f>
        <v>750</v>
      </c>
      <c r="D27" s="24" t="s">
        <v>33</v>
      </c>
      <c r="E27" s="2"/>
      <c r="F27" s="2"/>
    </row>
    <row r="28" customFormat="false" ht="15" hidden="false" customHeight="true" outlineLevel="0" collapsed="false">
      <c r="A28" s="2"/>
      <c r="B28" s="6" t="s">
        <v>34</v>
      </c>
      <c r="C28" s="26" t="s">
        <v>35</v>
      </c>
      <c r="D28" s="26" t="s">
        <v>36</v>
      </c>
      <c r="E28" s="26" t="s">
        <v>37</v>
      </c>
      <c r="F28" s="7"/>
    </row>
    <row r="29" customFormat="false" ht="15" hidden="false" customHeight="true" outlineLevel="0" collapsed="false">
      <c r="A29" s="2"/>
      <c r="B29" s="10" t="s">
        <v>38</v>
      </c>
      <c r="C29" s="27" t="n">
        <f aca="false">C5</f>
        <v>100</v>
      </c>
      <c r="D29" s="27" t="n">
        <f aca="false">C29*4.33333333333333</f>
        <v>433.333333333333</v>
      </c>
      <c r="E29" s="27" t="n">
        <f aca="false">C29*52</f>
        <v>5200</v>
      </c>
      <c r="F29" s="2"/>
    </row>
    <row r="30" customFormat="false" ht="15" hidden="false" customHeight="true" outlineLevel="0" collapsed="false">
      <c r="A30" s="2"/>
      <c r="B30" s="10" t="s">
        <v>39</v>
      </c>
      <c r="C30" s="28" t="n">
        <f aca="false">C29*C18</f>
        <v>4650</v>
      </c>
      <c r="D30" s="28" t="n">
        <f aca="false">D29*C18</f>
        <v>20150</v>
      </c>
      <c r="E30" s="28" t="n">
        <f aca="false">E29*C18</f>
        <v>241800</v>
      </c>
      <c r="F30" s="2"/>
    </row>
    <row r="31" customFormat="false" ht="15" hidden="false" customHeight="true" outlineLevel="0" collapsed="false">
      <c r="A31" s="2"/>
      <c r="B31" s="8" t="s">
        <v>40</v>
      </c>
      <c r="C31" s="29" t="n">
        <f aca="false">C29*E18</f>
        <v>650</v>
      </c>
      <c r="D31" s="29" t="n">
        <f aca="false">D29*E18</f>
        <v>2816.66666666666</v>
      </c>
      <c r="E31" s="29" t="n">
        <f aca="false">E29*E18</f>
        <v>33800</v>
      </c>
      <c r="F31" s="2"/>
    </row>
    <row r="32" customFormat="false" ht="15" hidden="false" customHeight="true" outlineLevel="0" collapsed="false">
      <c r="A32" s="2"/>
      <c r="B32" s="30" t="s">
        <v>41</v>
      </c>
      <c r="C32" s="30"/>
      <c r="D32" s="30"/>
      <c r="E32" s="30"/>
      <c r="F32" s="2"/>
    </row>
    <row r="33" customFormat="false" ht="15" hidden="false" customHeight="true" outlineLevel="0" collapsed="false">
      <c r="A33" s="2"/>
      <c r="B33" s="31" t="s">
        <v>42</v>
      </c>
      <c r="C33" s="32" t="n">
        <f aca="false">-(C30*C22+C29*C23)</f>
        <v>-164.85</v>
      </c>
      <c r="D33" s="32" t="n">
        <f aca="false">-(D30*C22+D29*C23)</f>
        <v>-714.35</v>
      </c>
      <c r="E33" s="32" t="n">
        <f aca="false">-(E30*C22+E29*C23)</f>
        <v>-8572.2</v>
      </c>
      <c r="F33" s="2"/>
    </row>
    <row r="34" customFormat="false" ht="15" hidden="false" customHeight="true" outlineLevel="0" collapsed="false">
      <c r="A34" s="2"/>
      <c r="B34" s="2" t="s">
        <v>43</v>
      </c>
      <c r="C34" s="33" t="n">
        <f aca="false">-C29*C24</f>
        <v>-25</v>
      </c>
      <c r="D34" s="33" t="n">
        <f aca="false">-D29*C24</f>
        <v>-108.333333333333</v>
      </c>
      <c r="E34" s="33" t="n">
        <f aca="false">-E29*C24</f>
        <v>-1300</v>
      </c>
      <c r="F34" s="2"/>
    </row>
    <row r="35" customFormat="false" ht="15" hidden="false" customHeight="true" outlineLevel="0" collapsed="false">
      <c r="A35" s="2"/>
      <c r="B35" s="2" t="s">
        <v>44</v>
      </c>
      <c r="C35" s="33" t="n">
        <f aca="false">-C25/4.33333333333333</f>
        <v>-57.6923076923077</v>
      </c>
      <c r="D35" s="33" t="n">
        <f aca="false">-C25</f>
        <v>-250</v>
      </c>
      <c r="E35" s="33" t="n">
        <f aca="false">-C25*12</f>
        <v>-3000</v>
      </c>
      <c r="F35" s="2"/>
    </row>
    <row r="36" customFormat="false" ht="15" hidden="false" customHeight="true" outlineLevel="0" collapsed="false">
      <c r="A36" s="2"/>
      <c r="B36" s="2" t="s">
        <v>45</v>
      </c>
      <c r="C36" s="33" t="n">
        <f aca="false">-C27/4.33333333333333</f>
        <v>-173.076923076923</v>
      </c>
      <c r="D36" s="33" t="n">
        <f aca="false">-C27</f>
        <v>-750</v>
      </c>
      <c r="E36" s="33" t="n">
        <f aca="false">-C27*12</f>
        <v>-9000</v>
      </c>
      <c r="F36" s="2"/>
    </row>
    <row r="37" customFormat="false" ht="15" hidden="false" customHeight="true" outlineLevel="0" collapsed="false">
      <c r="A37" s="2"/>
      <c r="B37" s="2" t="s">
        <v>46</v>
      </c>
      <c r="C37" s="33" t="n">
        <f aca="false">-C26*C5/100/4.33333333333333</f>
        <v>-230.769230769231</v>
      </c>
      <c r="D37" s="33" t="n">
        <f aca="false">-C26*C5/100</f>
        <v>-1000</v>
      </c>
      <c r="E37" s="33" t="n">
        <f aca="false">-C26*C5/100*12</f>
        <v>-12000</v>
      </c>
      <c r="F37" s="2"/>
    </row>
    <row r="38" customFormat="false" ht="15" hidden="false" customHeight="true" outlineLevel="0" collapsed="false">
      <c r="A38" s="2"/>
      <c r="B38" s="34" t="s">
        <v>47</v>
      </c>
      <c r="C38" s="35" t="n">
        <f aca="false">SUM(C33:C37)</f>
        <v>-651.388461538462</v>
      </c>
      <c r="D38" s="35" t="n">
        <f aca="false">SUM(D33:D37)</f>
        <v>-2822.68333333333</v>
      </c>
      <c r="E38" s="35" t="n">
        <f aca="false">SUM(E33:E37)</f>
        <v>-33872.2</v>
      </c>
      <c r="F38" s="2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</row>
    <row r="40" customFormat="false" ht="15" hidden="false" customHeight="true" outlineLevel="0" collapsed="false">
      <c r="A40" s="2"/>
      <c r="B40" s="6" t="s">
        <v>48</v>
      </c>
      <c r="C40" s="36" t="n">
        <f aca="false">C31+C38</f>
        <v>-1.3884615384618</v>
      </c>
      <c r="D40" s="36" t="n">
        <f aca="false">D31+D38</f>
        <v>-6.01666666666779</v>
      </c>
      <c r="E40" s="36" t="n">
        <f aca="false">E31+E38</f>
        <v>-72.1999999999971</v>
      </c>
      <c r="F40" s="2"/>
    </row>
    <row r="41" customFormat="false" ht="15" hidden="false" customHeight="true" outlineLevel="0" collapsed="false">
      <c r="A41" s="2"/>
      <c r="B41" s="10" t="s">
        <v>49</v>
      </c>
      <c r="C41" s="17" t="n">
        <f aca="false">IF(C31=0,0,C40/C31)</f>
        <v>-0.00213609467455661</v>
      </c>
      <c r="D41" s="17" t="n">
        <f aca="false">IF(D31=0,0,D40/D31)</f>
        <v>-0.00213609467455661</v>
      </c>
      <c r="E41" s="17" t="n">
        <f aca="false">IF(E31=0,0,E40/E31)</f>
        <v>-0.00213609467455613</v>
      </c>
      <c r="F41" s="2"/>
    </row>
    <row r="42" customFormat="false" ht="15" hidden="false" customHeight="true" outlineLevel="0" collapsed="false">
      <c r="A42" s="2"/>
      <c r="B42" s="10" t="s">
        <v>50</v>
      </c>
      <c r="C42" s="17" t="n">
        <f aca="false">IF(C30=0,0,C31/C30)</f>
        <v>0.139784946236559</v>
      </c>
      <c r="D42" s="2"/>
      <c r="E42" s="2"/>
      <c r="F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</row>
    <row r="44" customFormat="false" ht="15" hidden="false" customHeight="true" outlineLevel="0" collapsed="false">
      <c r="A44" s="2"/>
      <c r="B44" s="8" t="s">
        <v>51</v>
      </c>
      <c r="C44" s="37" t="n">
        <f aca="false">(C25+C27)/4.33333333333333/C45</f>
        <v>100.605308606784</v>
      </c>
      <c r="D44" s="5" t="s">
        <v>52</v>
      </c>
      <c r="E44" s="2"/>
      <c r="F44" s="2"/>
    </row>
    <row r="45" customFormat="false" ht="15" hidden="false" customHeight="true" outlineLevel="0" collapsed="false">
      <c r="A45" s="2"/>
      <c r="B45" s="10" t="s">
        <v>53</v>
      </c>
      <c r="C45" s="13" t="n">
        <f aca="false">E18-C18*C22-C23-C24-C26/100/4.33333333333333</f>
        <v>2.29380769230769</v>
      </c>
      <c r="D45" s="2"/>
      <c r="E45" s="2"/>
      <c r="F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</row>
    <row r="47" customFormat="false" ht="15" hidden="false" customHeight="true" outlineLevel="0" collapsed="false">
      <c r="A47" s="2"/>
      <c r="B47" s="5" t="s">
        <v>54</v>
      </c>
      <c r="C47" s="2"/>
      <c r="D47" s="2"/>
      <c r="E47" s="2"/>
      <c r="F47" s="2"/>
    </row>
    <row r="49" customFormat="false" ht="15" hidden="false" customHeight="true" outlineLevel="0" collapsed="false">
      <c r="B49" s="7" t="s">
        <v>55</v>
      </c>
      <c r="C49" s="7"/>
      <c r="D49" s="7"/>
      <c r="E49" s="7"/>
      <c r="F49" s="7"/>
    </row>
    <row r="50" customFormat="false" ht="15" hidden="false" customHeight="true" outlineLevel="0" collapsed="false">
      <c r="B50" s="2" t="s">
        <v>56</v>
      </c>
      <c r="C50" s="38" t="n">
        <v>15000</v>
      </c>
      <c r="D50" s="24" t="s">
        <v>57</v>
      </c>
    </row>
    <row r="51" customFormat="false" ht="15" hidden="false" customHeight="true" outlineLevel="0" collapsed="false">
      <c r="B51" s="2" t="s">
        <v>58</v>
      </c>
      <c r="C51" s="39" t="n">
        <v>0.2</v>
      </c>
      <c r="D51" s="24" t="s">
        <v>59</v>
      </c>
    </row>
    <row r="52" customFormat="false" ht="15" hidden="false" customHeight="true" outlineLevel="0" collapsed="false">
      <c r="B52" s="2" t="s">
        <v>60</v>
      </c>
      <c r="C52" s="38" t="n">
        <v>750</v>
      </c>
      <c r="D52" s="24" t="s">
        <v>61</v>
      </c>
    </row>
    <row r="53" customFormat="false" ht="15" hidden="false" customHeight="true" outlineLevel="0" collapsed="false">
      <c r="B53" s="2" t="s">
        <v>62</v>
      </c>
      <c r="C53" s="38" t="n">
        <v>10000</v>
      </c>
      <c r="D53" s="24" t="s">
        <v>63</v>
      </c>
    </row>
    <row r="55" customFormat="false" ht="15" hidden="false" customHeight="true" outlineLevel="0" collapsed="false">
      <c r="B55" s="34" t="s">
        <v>64</v>
      </c>
      <c r="C55" s="40" t="n">
        <f aca="false">C50+MAX(0,-MIN(Projection!L8:L19))</f>
        <v>15006.0166666667</v>
      </c>
      <c r="D55" s="24" t="s">
        <v>65</v>
      </c>
    </row>
    <row r="56" customFormat="false" ht="15" hidden="false" customHeight="true" outlineLevel="0" collapsed="false">
      <c r="B56" s="24" t="s">
        <v>66</v>
      </c>
      <c r="C56" s="25"/>
      <c r="D56" s="2"/>
    </row>
    <row r="58" customFormat="false" ht="15" hidden="false" customHeight="true" outlineLevel="0" collapsed="false">
      <c r="B58" s="2"/>
      <c r="C58" s="41"/>
    </row>
    <row r="59" customFormat="false" ht="15" hidden="false" customHeight="true" outlineLevel="0" collapsed="false">
      <c r="B59" s="2"/>
      <c r="C59" s="41"/>
    </row>
    <row r="60" customFormat="false" ht="15" hidden="false" customHeight="true" outlineLevel="0" collapsed="false">
      <c r="B60" s="2"/>
      <c r="C60" s="41"/>
    </row>
    <row r="61" customFormat="false" ht="15" hidden="false" customHeight="true" outlineLevel="0" collapsed="false">
      <c r="B61" s="2"/>
      <c r="C61" s="41"/>
    </row>
    <row r="63" customFormat="false" ht="15" hidden="false" customHeight="true" outlineLevel="0" collapsed="false">
      <c r="B63" s="2"/>
      <c r="C63" s="25"/>
      <c r="D63" s="2"/>
    </row>
    <row r="65" customFormat="false" ht="15" hidden="false" customHeight="true" outlineLevel="0" collapsed="false">
      <c r="B65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12" min="3" style="1" width="13"/>
  </cols>
  <sheetData>
    <row r="1" customFormat="false" ht="19.5" hidden="false" customHeight="true" outlineLevel="0" collapsed="false">
      <c r="A1" s="2"/>
      <c r="B1" s="42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true" outlineLevel="0" collapsed="false">
      <c r="A2" s="2"/>
      <c r="B2" s="5" t="s">
        <v>68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5" hidden="false" customHeight="true" outlineLevel="0" collapsed="false">
      <c r="A4" s="2"/>
      <c r="B4" s="2" t="s">
        <v>69</v>
      </c>
      <c r="C4" s="43" t="n">
        <f aca="false">Model!C5</f>
        <v>100</v>
      </c>
      <c r="D4" s="2"/>
      <c r="E4" s="2"/>
      <c r="F4" s="2"/>
      <c r="G4" s="2"/>
      <c r="H4" s="2"/>
      <c r="I4" s="2"/>
      <c r="J4" s="2"/>
      <c r="K4" s="2"/>
      <c r="L4" s="2"/>
    </row>
    <row r="5" customFormat="false" ht="15" hidden="false" customHeight="true" outlineLevel="0" collapsed="false">
      <c r="A5" s="2"/>
      <c r="B5" s="2" t="s">
        <v>70</v>
      </c>
      <c r="C5" s="44" t="n">
        <v>0.1</v>
      </c>
      <c r="D5" s="2" t="s">
        <v>71</v>
      </c>
      <c r="E5" s="2"/>
      <c r="F5" s="2"/>
      <c r="G5" s="2"/>
      <c r="H5" s="2"/>
      <c r="I5" s="2"/>
      <c r="J5" s="2"/>
      <c r="K5" s="2"/>
      <c r="L5" s="2"/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15" hidden="false" customHeight="true" outlineLevel="0" collapsed="false">
      <c r="A7" s="2"/>
      <c r="B7" s="45" t="s">
        <v>72</v>
      </c>
      <c r="C7" s="45" t="s">
        <v>73</v>
      </c>
      <c r="D7" s="45" t="s">
        <v>74</v>
      </c>
      <c r="E7" s="45" t="s">
        <v>75</v>
      </c>
      <c r="F7" s="45" t="s">
        <v>76</v>
      </c>
      <c r="G7" s="45" t="s">
        <v>77</v>
      </c>
      <c r="H7" s="45" t="s">
        <v>78</v>
      </c>
      <c r="I7" s="45" t="s">
        <v>79</v>
      </c>
      <c r="J7" s="45" t="s">
        <v>80</v>
      </c>
      <c r="K7" s="45" t="s">
        <v>81</v>
      </c>
      <c r="L7" s="45" t="s">
        <v>82</v>
      </c>
    </row>
    <row r="8" customFormat="false" ht="15" hidden="false" customHeight="true" outlineLevel="0" collapsed="false">
      <c r="A8" s="2"/>
      <c r="B8" s="2" t="n">
        <v>1</v>
      </c>
      <c r="C8" s="46" t="n">
        <f aca="false">$C$4</f>
        <v>100</v>
      </c>
      <c r="D8" s="46" t="n">
        <f aca="false">C8*4.33333333333333</f>
        <v>433.333333333333</v>
      </c>
      <c r="E8" s="47" t="n">
        <f aca="false">D8*Model!$C$18</f>
        <v>20150</v>
      </c>
      <c r="F8" s="47" t="n">
        <f aca="false">D8*Model!$E$18</f>
        <v>2816.66666666666</v>
      </c>
      <c r="G8" s="47" t="n">
        <f aca="false">-(E8*Model!$C$22+D8*Model!$C$23)</f>
        <v>-714.35</v>
      </c>
      <c r="H8" s="47" t="n">
        <f aca="false">-D8*Model!$C$24</f>
        <v>-108.333333333333</v>
      </c>
      <c r="I8" s="47" t="n">
        <f aca="false">-(Model!$C$25+MIN(Model!$C$53,MAX(Model!$C$52,Model!$C$51*F8)))</f>
        <v>-1000</v>
      </c>
      <c r="J8" s="47" t="n">
        <f aca="false">-Model!$C$26*C8/100</f>
        <v>-1000</v>
      </c>
      <c r="K8" s="47" t="n">
        <f aca="false">F8+SUM(G8:J8)</f>
        <v>-6.01666666666779</v>
      </c>
      <c r="L8" s="47" t="n">
        <f aca="false">K8</f>
        <v>-6.01666666666779</v>
      </c>
    </row>
    <row r="9" customFormat="false" ht="15" hidden="false" customHeight="true" outlineLevel="0" collapsed="false">
      <c r="A9" s="2"/>
      <c r="B9" s="2" t="n">
        <v>2</v>
      </c>
      <c r="C9" s="46" t="n">
        <f aca="false">C8*(1+$C$5)</f>
        <v>110</v>
      </c>
      <c r="D9" s="46" t="n">
        <f aca="false">C9*4.33333333333333</f>
        <v>476.666666666666</v>
      </c>
      <c r="E9" s="47" t="n">
        <f aca="false">D9*Model!$C$18</f>
        <v>22165</v>
      </c>
      <c r="F9" s="47" t="n">
        <f aca="false">D9*Model!$E$18</f>
        <v>3098.33333333333</v>
      </c>
      <c r="G9" s="47" t="n">
        <f aca="false">-(E9*Model!$C$22+D9*Model!$C$23)</f>
        <v>-785.785</v>
      </c>
      <c r="H9" s="47" t="n">
        <f aca="false">-D9*Model!$C$24</f>
        <v>-119.166666666667</v>
      </c>
      <c r="I9" s="47" t="n">
        <f aca="false">-(Model!$C$25+MIN(Model!$C$53,MAX(Model!$C$52,Model!$C$51*F9)))</f>
        <v>-1000</v>
      </c>
      <c r="J9" s="47" t="n">
        <f aca="false">-Model!$C$26*C9/100</f>
        <v>-1100</v>
      </c>
      <c r="K9" s="47" t="n">
        <f aca="false">F9+SUM(G9:J9)</f>
        <v>93.3816666666653</v>
      </c>
      <c r="L9" s="47" t="n">
        <f aca="false">L8+K9</f>
        <v>87.3649999999975</v>
      </c>
    </row>
    <row r="10" customFormat="false" ht="15" hidden="false" customHeight="true" outlineLevel="0" collapsed="false">
      <c r="A10" s="2"/>
      <c r="B10" s="2" t="n">
        <v>3</v>
      </c>
      <c r="C10" s="46" t="n">
        <f aca="false">C9*(1+$C$5)</f>
        <v>121</v>
      </c>
      <c r="D10" s="46" t="n">
        <f aca="false">C10*4.33333333333333</f>
        <v>524.333333333333</v>
      </c>
      <c r="E10" s="47" t="n">
        <f aca="false">D10*Model!$C$18</f>
        <v>24381.5</v>
      </c>
      <c r="F10" s="47" t="n">
        <f aca="false">D10*Model!$E$18</f>
        <v>3408.16666666667</v>
      </c>
      <c r="G10" s="47" t="n">
        <f aca="false">-(E10*Model!$C$22+D10*Model!$C$23)</f>
        <v>-864.3635</v>
      </c>
      <c r="H10" s="47" t="n">
        <f aca="false">-D10*Model!$C$24</f>
        <v>-131.083333333333</v>
      </c>
      <c r="I10" s="47" t="n">
        <f aca="false">-(Model!$C$25+MIN(Model!$C$53,MAX(Model!$C$52,Model!$C$51*F10)))</f>
        <v>-1000</v>
      </c>
      <c r="J10" s="47" t="n">
        <f aca="false">-Model!$C$26*C10/100</f>
        <v>-1210</v>
      </c>
      <c r="K10" s="47" t="n">
        <f aca="false">F10+SUM(G10:J10)</f>
        <v>202.719833333332</v>
      </c>
      <c r="L10" s="47" t="n">
        <f aca="false">L9+K10</f>
        <v>290.08483333333</v>
      </c>
    </row>
    <row r="11" customFormat="false" ht="15" hidden="false" customHeight="true" outlineLevel="0" collapsed="false">
      <c r="A11" s="2"/>
      <c r="B11" s="2" t="n">
        <v>4</v>
      </c>
      <c r="C11" s="46" t="n">
        <f aca="false">C10*(1+$C$5)</f>
        <v>133.1</v>
      </c>
      <c r="D11" s="46" t="n">
        <f aca="false">C11*4.33333333333333</f>
        <v>576.766666666667</v>
      </c>
      <c r="E11" s="47" t="n">
        <f aca="false">D11*Model!$C$18</f>
        <v>26819.65</v>
      </c>
      <c r="F11" s="47" t="n">
        <f aca="false">D11*Model!$E$18</f>
        <v>3748.98333333333</v>
      </c>
      <c r="G11" s="47" t="n">
        <f aca="false">-(E11*Model!$C$22+D11*Model!$C$23)</f>
        <v>-950.79985</v>
      </c>
      <c r="H11" s="47" t="n">
        <f aca="false">-D11*Model!$C$24</f>
        <v>-144.191666666667</v>
      </c>
      <c r="I11" s="47" t="n">
        <f aca="false">-(Model!$C$25+MIN(Model!$C$53,MAX(Model!$C$52,Model!$C$51*F11)))</f>
        <v>-1000</v>
      </c>
      <c r="J11" s="47" t="n">
        <f aca="false">-Model!$C$26*C11/100</f>
        <v>-1331</v>
      </c>
      <c r="K11" s="47" t="n">
        <f aca="false">F11+SUM(G11:J11)</f>
        <v>322.991816666665</v>
      </c>
      <c r="L11" s="47" t="n">
        <f aca="false">L10+K11</f>
        <v>613.076649999995</v>
      </c>
    </row>
    <row r="12" customFormat="false" ht="15" hidden="false" customHeight="true" outlineLevel="0" collapsed="false">
      <c r="A12" s="2"/>
      <c r="B12" s="2" t="n">
        <v>5</v>
      </c>
      <c r="C12" s="46" t="n">
        <f aca="false">C11*(1+$C$5)</f>
        <v>146.41</v>
      </c>
      <c r="D12" s="46" t="n">
        <f aca="false">C12*4.33333333333333</f>
        <v>634.443333333333</v>
      </c>
      <c r="E12" s="47" t="n">
        <f aca="false">D12*Model!$C$18</f>
        <v>29501.615</v>
      </c>
      <c r="F12" s="47" t="n">
        <f aca="false">D12*Model!$E$18</f>
        <v>4123.88166666667</v>
      </c>
      <c r="G12" s="47" t="n">
        <f aca="false">-(E12*Model!$C$22+D12*Model!$C$23)</f>
        <v>-1045.879835</v>
      </c>
      <c r="H12" s="47" t="n">
        <f aca="false">-D12*Model!$C$24</f>
        <v>-158.610833333333</v>
      </c>
      <c r="I12" s="47" t="n">
        <f aca="false">-(Model!$C$25+MIN(Model!$C$53,MAX(Model!$C$52,Model!$C$51*F12)))</f>
        <v>-1074.77633333333</v>
      </c>
      <c r="J12" s="47" t="n">
        <f aca="false">-Model!$C$26*C12/100</f>
        <v>-1464.1</v>
      </c>
      <c r="K12" s="47" t="n">
        <f aca="false">F12+SUM(G12:J12)</f>
        <v>380.514664999999</v>
      </c>
      <c r="L12" s="47" t="n">
        <f aca="false">L11+K12</f>
        <v>993.591314999994</v>
      </c>
    </row>
    <row r="13" customFormat="false" ht="15" hidden="false" customHeight="true" outlineLevel="0" collapsed="false">
      <c r="A13" s="2"/>
      <c r="B13" s="2" t="n">
        <v>6</v>
      </c>
      <c r="C13" s="46" t="n">
        <f aca="false">C12*(1+$C$5)</f>
        <v>161.051</v>
      </c>
      <c r="D13" s="46" t="n">
        <f aca="false">C13*4.33333333333333</f>
        <v>697.887666666667</v>
      </c>
      <c r="E13" s="47" t="n">
        <f aca="false">D13*Model!$C$18</f>
        <v>32451.7765</v>
      </c>
      <c r="F13" s="47" t="n">
        <f aca="false">D13*Model!$E$18</f>
        <v>4536.26983333333</v>
      </c>
      <c r="G13" s="47" t="n">
        <f aca="false">-(E13*Model!$C$22+D13*Model!$C$23)</f>
        <v>-1150.4678185</v>
      </c>
      <c r="H13" s="47" t="n">
        <f aca="false">-D13*Model!$C$24</f>
        <v>-174.471916666667</v>
      </c>
      <c r="I13" s="47" t="n">
        <f aca="false">-(Model!$C$25+MIN(Model!$C$53,MAX(Model!$C$52,Model!$C$51*F13)))</f>
        <v>-1157.25396666667</v>
      </c>
      <c r="J13" s="47" t="n">
        <f aca="false">-Model!$C$26*C13/100</f>
        <v>-1610.51</v>
      </c>
      <c r="K13" s="47" t="n">
        <f aca="false">F13+SUM(G13:J13)</f>
        <v>443.566131499998</v>
      </c>
      <c r="L13" s="47" t="n">
        <f aca="false">L12+K13</f>
        <v>1437.15744649999</v>
      </c>
    </row>
    <row r="14" customFormat="false" ht="15" hidden="false" customHeight="true" outlineLevel="0" collapsed="false">
      <c r="A14" s="2"/>
      <c r="B14" s="2" t="n">
        <v>7</v>
      </c>
      <c r="C14" s="46" t="n">
        <f aca="false">C13*(1+$C$5)</f>
        <v>177.1561</v>
      </c>
      <c r="D14" s="46" t="n">
        <f aca="false">C14*4.33333333333333</f>
        <v>767.676433333333</v>
      </c>
      <c r="E14" s="47" t="n">
        <f aca="false">D14*Model!$C$18</f>
        <v>35696.95415</v>
      </c>
      <c r="F14" s="47" t="n">
        <f aca="false">D14*Model!$E$18</f>
        <v>4989.89681666667</v>
      </c>
      <c r="G14" s="47" t="n">
        <f aca="false">-(E14*Model!$C$22+D14*Model!$C$23)</f>
        <v>-1265.51460035</v>
      </c>
      <c r="H14" s="47" t="n">
        <f aca="false">-D14*Model!$C$24</f>
        <v>-191.919108333333</v>
      </c>
      <c r="I14" s="47" t="n">
        <f aca="false">-(Model!$C$25+MIN(Model!$C$53,MAX(Model!$C$52,Model!$C$51*F14)))</f>
        <v>-1247.97936333333</v>
      </c>
      <c r="J14" s="47" t="n">
        <f aca="false">-Model!$C$26*C14/100</f>
        <v>-1771.561</v>
      </c>
      <c r="K14" s="47" t="n">
        <f aca="false">F14+SUM(G14:J14)</f>
        <v>512.922744649998</v>
      </c>
      <c r="L14" s="47" t="n">
        <f aca="false">L13+K14</f>
        <v>1950.08019114999</v>
      </c>
    </row>
    <row r="15" customFormat="false" ht="15" hidden="false" customHeight="true" outlineLevel="0" collapsed="false">
      <c r="A15" s="2"/>
      <c r="B15" s="2" t="n">
        <v>8</v>
      </c>
      <c r="C15" s="46" t="n">
        <f aca="false">C14*(1+$C$5)</f>
        <v>194.87171</v>
      </c>
      <c r="D15" s="46" t="n">
        <f aca="false">C15*4.33333333333333</f>
        <v>844.444076666667</v>
      </c>
      <c r="E15" s="47" t="n">
        <f aca="false">D15*Model!$C$18</f>
        <v>39266.649565</v>
      </c>
      <c r="F15" s="47" t="n">
        <f aca="false">D15*Model!$E$18</f>
        <v>5488.88649833333</v>
      </c>
      <c r="G15" s="47" t="n">
        <f aca="false">-(E15*Model!$C$22+D15*Model!$C$23)</f>
        <v>-1392.066060385</v>
      </c>
      <c r="H15" s="47" t="n">
        <f aca="false">-D15*Model!$C$24</f>
        <v>-211.111019166667</v>
      </c>
      <c r="I15" s="47" t="n">
        <f aca="false">-(Model!$C$25+MIN(Model!$C$53,MAX(Model!$C$52,Model!$C$51*F15)))</f>
        <v>-1347.77729966667</v>
      </c>
      <c r="J15" s="47" t="n">
        <f aca="false">-Model!$C$26*C15/100</f>
        <v>-1948.7171</v>
      </c>
      <c r="K15" s="47" t="n">
        <f aca="false">F15+SUM(G15:J15)</f>
        <v>589.215019114999</v>
      </c>
      <c r="L15" s="47" t="n">
        <f aca="false">L14+K15</f>
        <v>2539.29521026499</v>
      </c>
    </row>
    <row r="16" customFormat="false" ht="15" hidden="false" customHeight="true" outlineLevel="0" collapsed="false">
      <c r="A16" s="2"/>
      <c r="B16" s="2" t="n">
        <v>9</v>
      </c>
      <c r="C16" s="46" t="n">
        <f aca="false">C15*(1+$C$5)</f>
        <v>214.358881</v>
      </c>
      <c r="D16" s="46" t="n">
        <f aca="false">C16*4.33333333333333</f>
        <v>928.888484333334</v>
      </c>
      <c r="E16" s="47" t="n">
        <f aca="false">D16*Model!$C$18</f>
        <v>43193.3145215</v>
      </c>
      <c r="F16" s="47" t="n">
        <f aca="false">D16*Model!$E$18</f>
        <v>6037.77514816667</v>
      </c>
      <c r="G16" s="47" t="n">
        <f aca="false">-(E16*Model!$C$22+D16*Model!$C$23)</f>
        <v>-1531.2726664235</v>
      </c>
      <c r="H16" s="47" t="n">
        <f aca="false">-D16*Model!$C$24</f>
        <v>-232.222121083333</v>
      </c>
      <c r="I16" s="47" t="n">
        <f aca="false">-(Model!$C$25+MIN(Model!$C$53,MAX(Model!$C$52,Model!$C$51*F16)))</f>
        <v>-1457.55502963333</v>
      </c>
      <c r="J16" s="47" t="n">
        <f aca="false">-Model!$C$26*C16/100</f>
        <v>-2143.58881</v>
      </c>
      <c r="K16" s="47" t="n">
        <f aca="false">F16+SUM(G16:J16)</f>
        <v>673.136521026498</v>
      </c>
      <c r="L16" s="47" t="n">
        <f aca="false">L15+K16</f>
        <v>3212.43173129149</v>
      </c>
    </row>
    <row r="17" customFormat="false" ht="15" hidden="false" customHeight="true" outlineLevel="0" collapsed="false">
      <c r="A17" s="2"/>
      <c r="B17" s="2" t="n">
        <v>10</v>
      </c>
      <c r="C17" s="46" t="n">
        <f aca="false">C16*(1+$C$5)</f>
        <v>235.7947691</v>
      </c>
      <c r="D17" s="46" t="n">
        <f aca="false">C17*4.33333333333333</f>
        <v>1021.77733276667</v>
      </c>
      <c r="E17" s="47" t="n">
        <f aca="false">D17*Model!$C$18</f>
        <v>47512.64597365</v>
      </c>
      <c r="F17" s="47" t="n">
        <f aca="false">D17*Model!$E$18</f>
        <v>6641.55266298334</v>
      </c>
      <c r="G17" s="47" t="n">
        <f aca="false">-(E17*Model!$C$22+D17*Model!$C$23)</f>
        <v>-1684.39993306585</v>
      </c>
      <c r="H17" s="47" t="n">
        <f aca="false">-D17*Model!$C$24</f>
        <v>-255.444333191667</v>
      </c>
      <c r="I17" s="47" t="n">
        <f aca="false">-(Model!$C$25+MIN(Model!$C$53,MAX(Model!$C$52,Model!$C$51*F17)))</f>
        <v>-1578.31053259667</v>
      </c>
      <c r="J17" s="47" t="n">
        <f aca="false">-Model!$C$26*C17/100</f>
        <v>-2357.947691</v>
      </c>
      <c r="K17" s="47" t="n">
        <f aca="false">F17+SUM(G17:J17)</f>
        <v>765.450173129148</v>
      </c>
      <c r="L17" s="47" t="n">
        <f aca="false">L16+K17</f>
        <v>3977.88190442064</v>
      </c>
    </row>
    <row r="18" customFormat="false" ht="15" hidden="false" customHeight="true" outlineLevel="0" collapsed="false">
      <c r="A18" s="2"/>
      <c r="B18" s="2" t="n">
        <v>11</v>
      </c>
      <c r="C18" s="46" t="n">
        <f aca="false">C17*(1+$C$5)</f>
        <v>259.37424601</v>
      </c>
      <c r="D18" s="46" t="n">
        <f aca="false">C18*4.33333333333333</f>
        <v>1123.95506604333</v>
      </c>
      <c r="E18" s="47" t="n">
        <f aca="false">D18*Model!$C$18</f>
        <v>52263.910571015</v>
      </c>
      <c r="F18" s="47" t="n">
        <f aca="false">D18*Model!$E$18</f>
        <v>7305.70792928167</v>
      </c>
      <c r="G18" s="47" t="n">
        <f aca="false">-(E18*Model!$C$22+D18*Model!$C$23)</f>
        <v>-1852.83992637244</v>
      </c>
      <c r="H18" s="47" t="n">
        <f aca="false">-D18*Model!$C$24</f>
        <v>-280.988766510833</v>
      </c>
      <c r="I18" s="47" t="n">
        <f aca="false">-(Model!$C$25+MIN(Model!$C$53,MAX(Model!$C$52,Model!$C$51*F18)))</f>
        <v>-1711.14158585633</v>
      </c>
      <c r="J18" s="47" t="n">
        <f aca="false">-Model!$C$26*C18/100</f>
        <v>-2593.7424601</v>
      </c>
      <c r="K18" s="47" t="n">
        <f aca="false">F18+SUM(G18:J18)</f>
        <v>866.995190442064</v>
      </c>
      <c r="L18" s="47" t="n">
        <f aca="false">L17+K18</f>
        <v>4844.8770948627</v>
      </c>
    </row>
    <row r="19" customFormat="false" ht="15" hidden="false" customHeight="true" outlineLevel="0" collapsed="false">
      <c r="A19" s="2"/>
      <c r="B19" s="2" t="n">
        <v>12</v>
      </c>
      <c r="C19" s="46" t="n">
        <f aca="false">C18*(1+$C$5)</f>
        <v>285.311670611</v>
      </c>
      <c r="D19" s="46" t="n">
        <f aca="false">C19*4.33333333333333</f>
        <v>1236.35057264767</v>
      </c>
      <c r="E19" s="47" t="n">
        <f aca="false">D19*Model!$C$18</f>
        <v>57490.3016281165</v>
      </c>
      <c r="F19" s="47" t="n">
        <f aca="false">D19*Model!$E$18</f>
        <v>8036.27872220984</v>
      </c>
      <c r="G19" s="47" t="n">
        <f aca="false">-(E19*Model!$C$22+D19*Model!$C$23)</f>
        <v>-2038.12391900968</v>
      </c>
      <c r="H19" s="47" t="n">
        <f aca="false">-D19*Model!$C$24</f>
        <v>-309.087643161917</v>
      </c>
      <c r="I19" s="47" t="n">
        <f aca="false">-(Model!$C$25+MIN(Model!$C$53,MAX(Model!$C$52,Model!$C$51*F19)))</f>
        <v>-1857.25574444197</v>
      </c>
      <c r="J19" s="47" t="n">
        <f aca="false">-Model!$C$26*C19/100</f>
        <v>-2853.11670611</v>
      </c>
      <c r="K19" s="47" t="n">
        <f aca="false">F19+SUM(G19:J19)</f>
        <v>978.694709486271</v>
      </c>
      <c r="L19" s="47" t="n">
        <f aca="false">L18+K19</f>
        <v>5823.57180434897</v>
      </c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15" hidden="false" customHeight="true" outlineLevel="0" collapsed="false">
      <c r="A21" s="2"/>
      <c r="B21" s="5" t="s">
        <v>83</v>
      </c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8" min="3" style="1" width="16"/>
  </cols>
  <sheetData>
    <row r="1" customFormat="false" ht="19.5" hidden="false" customHeight="true" outlineLevel="0" collapsed="false">
      <c r="A1" s="2"/>
      <c r="B1" s="42" t="s">
        <v>84</v>
      </c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2"/>
      <c r="B2" s="5" t="s">
        <v>85</v>
      </c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5" hidden="false" customHeight="true" outlineLevel="0" collapsed="false">
      <c r="A4" s="2"/>
      <c r="B4" s="48" t="s">
        <v>73</v>
      </c>
      <c r="C4" s="49" t="n">
        <v>25</v>
      </c>
      <c r="D4" s="49" t="n">
        <v>50</v>
      </c>
      <c r="E4" s="49" t="n">
        <v>100</v>
      </c>
      <c r="F4" s="49" t="n">
        <v>200</v>
      </c>
      <c r="G4" s="49" t="n">
        <v>400</v>
      </c>
      <c r="H4" s="49" t="n">
        <v>800</v>
      </c>
    </row>
    <row r="5" customFormat="false" ht="15" hidden="false" customHeight="true" outlineLevel="0" collapsed="false">
      <c r="A5" s="2"/>
      <c r="B5" s="16" t="s">
        <v>86</v>
      </c>
      <c r="C5" s="27" t="n">
        <f aca="false">C4*4.33333333333333</f>
        <v>108.333333333333</v>
      </c>
      <c r="D5" s="27" t="n">
        <f aca="false">D4*4.33333333333333</f>
        <v>216.666666666667</v>
      </c>
      <c r="E5" s="27" t="n">
        <f aca="false">E4*4.33333333333333</f>
        <v>433.333333333333</v>
      </c>
      <c r="F5" s="27" t="n">
        <f aca="false">F4*4.33333333333333</f>
        <v>866.666666666666</v>
      </c>
      <c r="G5" s="27" t="n">
        <f aca="false">G4*4.33333333333333</f>
        <v>1733.33333333333</v>
      </c>
      <c r="H5" s="27" t="n">
        <f aca="false">H4*4.33333333333333</f>
        <v>3466.66666666666</v>
      </c>
    </row>
    <row r="6" customFormat="false" ht="15" hidden="false" customHeight="true" outlineLevel="0" collapsed="false">
      <c r="A6" s="2"/>
      <c r="B6" s="16" t="s">
        <v>87</v>
      </c>
      <c r="C6" s="28" t="n">
        <f aca="false">C4*4.33333333333333*Model!C18</f>
        <v>5037.5</v>
      </c>
      <c r="D6" s="28" t="n">
        <f aca="false">D4*4.33333333333333*Model!C18</f>
        <v>10075</v>
      </c>
      <c r="E6" s="28" t="n">
        <f aca="false">E4*4.33333333333333*Model!C18</f>
        <v>20150</v>
      </c>
      <c r="F6" s="28" t="n">
        <f aca="false">F4*4.33333333333333*Model!C18</f>
        <v>40300</v>
      </c>
      <c r="G6" s="28" t="n">
        <f aca="false">G4*4.33333333333333*Model!C18</f>
        <v>80599.9999999999</v>
      </c>
      <c r="H6" s="28" t="n">
        <f aca="false">H4*4.33333333333333*Model!C18</f>
        <v>161200</v>
      </c>
    </row>
    <row r="7" customFormat="false" ht="15" hidden="false" customHeight="true" outlineLevel="0" collapsed="false">
      <c r="A7" s="2"/>
      <c r="B7" s="50" t="s">
        <v>88</v>
      </c>
      <c r="C7" s="29" t="n">
        <f aca="false">C4*4.33333333333333*Model!E18</f>
        <v>704.166666666666</v>
      </c>
      <c r="D7" s="29" t="n">
        <f aca="false">D4*4.33333333333333*Model!E18</f>
        <v>1408.33333333333</v>
      </c>
      <c r="E7" s="29" t="n">
        <f aca="false">E4*4.33333333333333*Model!E18</f>
        <v>2816.66666666666</v>
      </c>
      <c r="F7" s="29" t="n">
        <f aca="false">F4*4.33333333333333*Model!E18</f>
        <v>5633.33333333333</v>
      </c>
      <c r="G7" s="29" t="n">
        <f aca="false">G4*4.33333333333333*Model!E18</f>
        <v>11266.6666666667</v>
      </c>
      <c r="H7" s="29" t="n">
        <f aca="false">H4*4.33333333333333*Model!E18</f>
        <v>22533.3333333333</v>
      </c>
    </row>
    <row r="8" customFormat="false" ht="15" hidden="false" customHeight="true" outlineLevel="0" collapsed="false">
      <c r="A8" s="2"/>
      <c r="B8" s="16" t="s">
        <v>89</v>
      </c>
      <c r="C8" s="28" t="n">
        <f aca="false">-(C4*4.33333333333333*Model!C18*Model!C22+C4*4.33333333333333*Model!C23)</f>
        <v>-178.5875</v>
      </c>
      <c r="D8" s="28" t="n">
        <f aca="false">-(D4*4.33333333333333*Model!C18*Model!C22+D4*4.33333333333333*Model!C23)</f>
        <v>-357.175</v>
      </c>
      <c r="E8" s="28" t="n">
        <f aca="false">-(E4*4.33333333333333*Model!C18*Model!C22+E4*4.33333333333333*Model!C23)</f>
        <v>-714.35</v>
      </c>
      <c r="F8" s="28" t="n">
        <f aca="false">-(F4*4.33333333333333*Model!C18*Model!C22+F4*4.33333333333333*Model!C23)</f>
        <v>-1428.7</v>
      </c>
      <c r="G8" s="28" t="n">
        <f aca="false">-(G4*4.33333333333333*Model!C18*Model!C22+G4*4.33333333333333*Model!C23)</f>
        <v>-2857.4</v>
      </c>
      <c r="H8" s="28" t="n">
        <f aca="false">-(H4*4.33333333333333*Model!C18*Model!C22+H4*4.33333333333333*Model!C23)</f>
        <v>-5714.8</v>
      </c>
    </row>
    <row r="9" customFormat="false" ht="15" hidden="false" customHeight="true" outlineLevel="0" collapsed="false">
      <c r="A9" s="2"/>
      <c r="B9" s="16" t="s">
        <v>90</v>
      </c>
      <c r="C9" s="28" t="n">
        <f aca="false">-C4*4.33333333333333*Model!C24</f>
        <v>-27.0833333333333</v>
      </c>
      <c r="D9" s="28" t="n">
        <f aca="false">-D4*4.33333333333333*Model!C24</f>
        <v>-54.1666666666666</v>
      </c>
      <c r="E9" s="28" t="n">
        <f aca="false">-E4*4.33333333333333*Model!C24</f>
        <v>-108.333333333333</v>
      </c>
      <c r="F9" s="28" t="n">
        <f aca="false">-F4*4.33333333333333*Model!C24</f>
        <v>-216.666666666667</v>
      </c>
      <c r="G9" s="28" t="n">
        <f aca="false">-G4*4.33333333333333*Model!C24</f>
        <v>-433.333333333333</v>
      </c>
      <c r="H9" s="28" t="n">
        <f aca="false">-H4*4.33333333333333*Model!C24</f>
        <v>-866.666666666666</v>
      </c>
    </row>
    <row r="10" customFormat="false" ht="15" hidden="false" customHeight="true" outlineLevel="0" collapsed="false">
      <c r="A10" s="2"/>
      <c r="B10" s="16" t="s">
        <v>91</v>
      </c>
      <c r="C10" s="28" t="n">
        <f aca="false">-(Model!$C$25+MIN(Model!$C$53,MAX(Model!$C$52,Model!$C$51*C7)))</f>
        <v>-1000</v>
      </c>
      <c r="D10" s="28" t="n">
        <f aca="false">-(Model!$C$25+MIN(Model!$C$53,MAX(Model!$C$52,Model!$C$51*D7)))</f>
        <v>-1000</v>
      </c>
      <c r="E10" s="28" t="n">
        <f aca="false">-(Model!$C$25+MIN(Model!$C$53,MAX(Model!$C$52,Model!$C$51*E7)))</f>
        <v>-1000</v>
      </c>
      <c r="F10" s="28" t="n">
        <f aca="false">-(Model!$C$25+MIN(Model!$C$53,MAX(Model!$C$52,Model!$C$51*F7)))</f>
        <v>-1376.66666666667</v>
      </c>
      <c r="G10" s="28" t="n">
        <f aca="false">-(Model!$C$25+MIN(Model!$C$53,MAX(Model!$C$52,Model!$C$51*G7)))</f>
        <v>-2503.33333333333</v>
      </c>
      <c r="H10" s="28" t="n">
        <f aca="false">-(Model!$C$25+MIN(Model!$C$53,MAX(Model!$C$52,Model!$C$51*H7)))</f>
        <v>-4756.66666666666</v>
      </c>
    </row>
    <row r="11" customFormat="false" ht="15" hidden="false" customHeight="true" outlineLevel="0" collapsed="false">
      <c r="A11" s="2"/>
      <c r="B11" s="16" t="s">
        <v>92</v>
      </c>
      <c r="C11" s="28" t="n">
        <f aca="false">-Model!$C$26*C4/100</f>
        <v>-250</v>
      </c>
      <c r="D11" s="28" t="n">
        <f aca="false">-Model!$C$26*D4/100</f>
        <v>-500</v>
      </c>
      <c r="E11" s="28" t="n">
        <f aca="false">-Model!$C$26*E4/100</f>
        <v>-1000</v>
      </c>
      <c r="F11" s="28" t="n">
        <f aca="false">-Model!$C$26*F4/100</f>
        <v>-2000</v>
      </c>
      <c r="G11" s="28" t="n">
        <f aca="false">-Model!$C$26*G4/100</f>
        <v>-4000</v>
      </c>
      <c r="H11" s="28" t="n">
        <f aca="false">-Model!$C$26*H4/100</f>
        <v>-8000</v>
      </c>
    </row>
    <row r="12" customFormat="false" ht="15" hidden="false" customHeight="true" outlineLevel="0" collapsed="false">
      <c r="A12" s="2"/>
      <c r="B12" s="51" t="s">
        <v>93</v>
      </c>
      <c r="C12" s="36" t="n">
        <f aca="false">SUM(C7:C11)</f>
        <v>-751.504166666667</v>
      </c>
      <c r="D12" s="36" t="n">
        <f aca="false">SUM(D7:D11)</f>
        <v>-503.008333333334</v>
      </c>
      <c r="E12" s="36" t="n">
        <f aca="false">SUM(E7:E11)</f>
        <v>-6.01666666666802</v>
      </c>
      <c r="F12" s="36" t="n">
        <f aca="false">SUM(F7:F11)</f>
        <v>611.299999999998</v>
      </c>
      <c r="G12" s="36" t="n">
        <f aca="false">SUM(G7:G11)</f>
        <v>1472.6</v>
      </c>
      <c r="H12" s="36" t="n">
        <f aca="false">SUM(H7:H11)</f>
        <v>3195.19999999999</v>
      </c>
    </row>
    <row r="13" customFormat="false" ht="15" hidden="false" customHeight="true" outlineLevel="0" collapsed="false">
      <c r="A13" s="2"/>
      <c r="B13" s="51" t="s">
        <v>94</v>
      </c>
      <c r="C13" s="36" t="n">
        <f aca="false">C12*12</f>
        <v>-9018.05000000001</v>
      </c>
      <c r="D13" s="36" t="n">
        <f aca="false">D12*12</f>
        <v>-6036.10000000001</v>
      </c>
      <c r="E13" s="36" t="n">
        <f aca="false">E12*12</f>
        <v>-72.2000000000162</v>
      </c>
      <c r="F13" s="36" t="n">
        <f aca="false">F12*12</f>
        <v>7335.59999999998</v>
      </c>
      <c r="G13" s="36" t="n">
        <f aca="false">G12*12</f>
        <v>17671.2</v>
      </c>
      <c r="H13" s="36" t="n">
        <f aca="false">H12*12</f>
        <v>38342.3999999999</v>
      </c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</row>
    <row r="15" customFormat="false" ht="15" hidden="false" customHeight="true" outlineLevel="0" collapsed="false">
      <c r="A15" s="2"/>
      <c r="B15" s="5" t="s">
        <v>95</v>
      </c>
      <c r="C15" s="2"/>
      <c r="D15" s="2"/>
      <c r="E15" s="2"/>
      <c r="F15" s="2"/>
      <c r="G15" s="2"/>
      <c r="H15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6" min="3" style="1" width="15"/>
    <col collapsed="false" customWidth="true" hidden="false" outlineLevel="0" max="7" min="7" style="1" width="3"/>
  </cols>
  <sheetData>
    <row r="1" customFormat="false" ht="19.5" hidden="false" customHeight="true" outlineLevel="0" collapsed="false">
      <c r="A1" s="2"/>
      <c r="B1" s="42" t="s">
        <v>96</v>
      </c>
      <c r="C1" s="2"/>
      <c r="D1" s="2"/>
      <c r="E1" s="2"/>
      <c r="F1" s="2"/>
    </row>
    <row r="2" customFormat="false" ht="15" hidden="false" customHeight="true" outlineLevel="0" collapsed="false">
      <c r="A2" s="2"/>
      <c r="B2" s="5" t="s">
        <v>97</v>
      </c>
      <c r="C2" s="2"/>
      <c r="D2" s="2"/>
      <c r="E2" s="2"/>
      <c r="F2" s="2"/>
    </row>
    <row r="3" customFormat="false" ht="15" hidden="false" customHeight="true" outlineLevel="0" collapsed="false">
      <c r="A3" s="2"/>
      <c r="B3" s="2"/>
      <c r="C3" s="2"/>
      <c r="D3" s="2"/>
      <c r="E3" s="2"/>
      <c r="F3" s="2"/>
    </row>
    <row r="4" customFormat="false" ht="15" hidden="false" customHeight="true" outlineLevel="0" collapsed="false">
      <c r="A4" s="2"/>
      <c r="B4" s="6" t="s">
        <v>98</v>
      </c>
      <c r="C4" s="7"/>
      <c r="D4" s="7"/>
      <c r="E4" s="7"/>
      <c r="F4" s="7"/>
    </row>
    <row r="5" customFormat="false" ht="15" hidden="false" customHeight="true" outlineLevel="0" collapsed="false">
      <c r="A5" s="2"/>
      <c r="B5" s="10" t="s">
        <v>99</v>
      </c>
      <c r="C5" s="9" t="n">
        <v>500</v>
      </c>
      <c r="D5" s="2"/>
      <c r="E5" s="2"/>
      <c r="F5" s="2"/>
    </row>
    <row r="6" customFormat="false" ht="15" hidden="false" customHeight="true" outlineLevel="0" collapsed="false">
      <c r="A6" s="2"/>
      <c r="B6" s="10" t="s">
        <v>100</v>
      </c>
      <c r="C6" s="12" t="n">
        <v>0.8</v>
      </c>
      <c r="D6" s="2"/>
      <c r="E6" s="2"/>
      <c r="F6" s="2"/>
    </row>
    <row r="7" customFormat="false" ht="15" hidden="false" customHeight="true" outlineLevel="0" collapsed="false">
      <c r="A7" s="2"/>
      <c r="B7" s="10" t="s">
        <v>101</v>
      </c>
      <c r="C7" s="12" t="n">
        <v>0.15</v>
      </c>
      <c r="D7" s="2"/>
      <c r="E7" s="2"/>
      <c r="F7" s="2"/>
    </row>
    <row r="8" customFormat="false" ht="15" hidden="false" customHeight="true" outlineLevel="0" collapsed="false">
      <c r="A8" s="2"/>
      <c r="B8" s="10" t="s">
        <v>102</v>
      </c>
      <c r="C8" s="12" t="n">
        <v>0.05</v>
      </c>
      <c r="D8" s="2"/>
      <c r="E8" s="2"/>
      <c r="F8" s="2"/>
    </row>
    <row r="9" customFormat="false" ht="15" hidden="false" customHeight="true" outlineLevel="0" collapsed="false">
      <c r="A9" s="2"/>
      <c r="B9" s="5" t="s">
        <v>103</v>
      </c>
      <c r="C9" s="17" t="n">
        <f aca="false">C6+C7+C8</f>
        <v>1</v>
      </c>
      <c r="D9" s="2"/>
      <c r="E9" s="2"/>
      <c r="F9" s="2"/>
    </row>
    <row r="10" customFormat="false" ht="15" hidden="false" customHeight="true" outlineLevel="0" collapsed="false">
      <c r="A10" s="2"/>
      <c r="B10" s="10" t="s">
        <v>104</v>
      </c>
      <c r="C10" s="11" t="n">
        <v>14</v>
      </c>
      <c r="D10" s="2"/>
      <c r="E10" s="2"/>
      <c r="F10" s="2"/>
    </row>
    <row r="11" customFormat="false" ht="15" hidden="false" customHeight="true" outlineLevel="0" collapsed="false">
      <c r="A11" s="2"/>
      <c r="B11" s="10" t="s">
        <v>105</v>
      </c>
      <c r="C11" s="11" t="n">
        <v>39</v>
      </c>
      <c r="D11" s="2"/>
      <c r="E11" s="2"/>
      <c r="F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</row>
    <row r="13" customFormat="false" ht="15" hidden="false" customHeight="true" outlineLevel="0" collapsed="false">
      <c r="A13" s="2"/>
      <c r="B13" s="6" t="s">
        <v>106</v>
      </c>
      <c r="C13" s="7"/>
      <c r="D13" s="7"/>
      <c r="E13" s="7"/>
      <c r="F13" s="7"/>
    </row>
    <row r="14" customFormat="false" ht="15" hidden="false" customHeight="true" outlineLevel="0" collapsed="false">
      <c r="A14" s="2"/>
      <c r="B14" s="10" t="s">
        <v>107</v>
      </c>
      <c r="C14" s="12" t="n">
        <v>0.45</v>
      </c>
      <c r="D14" s="2"/>
      <c r="E14" s="2"/>
      <c r="F14" s="2"/>
    </row>
    <row r="15" customFormat="false" ht="15" hidden="false" customHeight="true" outlineLevel="0" collapsed="false">
      <c r="A15" s="2"/>
      <c r="B15" s="10" t="s">
        <v>108</v>
      </c>
      <c r="C15" s="12" t="n">
        <v>0.35</v>
      </c>
      <c r="D15" s="2"/>
      <c r="E15" s="2"/>
      <c r="F15" s="2"/>
    </row>
    <row r="16" customFormat="false" ht="15" hidden="false" customHeight="true" outlineLevel="0" collapsed="false">
      <c r="A16" s="2"/>
      <c r="B16" s="10" t="s">
        <v>109</v>
      </c>
      <c r="C16" s="12" t="n">
        <v>0.2</v>
      </c>
      <c r="D16" s="2"/>
      <c r="E16" s="2"/>
      <c r="F16" s="2"/>
    </row>
    <row r="17" customFormat="false" ht="15" hidden="false" customHeight="true" outlineLevel="0" collapsed="false">
      <c r="A17" s="2"/>
      <c r="B17" s="5" t="s">
        <v>110</v>
      </c>
      <c r="C17" s="17" t="n">
        <f aca="false">C14+C15+C16</f>
        <v>1</v>
      </c>
      <c r="D17" s="2"/>
      <c r="E17" s="2"/>
      <c r="F17" s="2"/>
    </row>
    <row r="18" customFormat="false" ht="15" hidden="false" customHeight="true" outlineLevel="0" collapsed="false">
      <c r="A18" s="2"/>
      <c r="B18" s="10" t="s">
        <v>111</v>
      </c>
      <c r="C18" s="12" t="n">
        <v>0.05</v>
      </c>
      <c r="D18" s="2"/>
      <c r="E18" s="2"/>
      <c r="F18" s="2"/>
    </row>
    <row r="19" customFormat="false" ht="15" hidden="false" customHeight="true" outlineLevel="0" collapsed="false">
      <c r="A19" s="2"/>
      <c r="B19" s="10" t="s">
        <v>112</v>
      </c>
      <c r="C19" s="12" t="n">
        <v>0.03</v>
      </c>
      <c r="D19" s="2"/>
      <c r="E19" s="2"/>
      <c r="F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</row>
    <row r="21" customFormat="false" ht="15" hidden="false" customHeight="true" outlineLevel="0" collapsed="false">
      <c r="A21" s="2"/>
      <c r="B21" s="6" t="s">
        <v>113</v>
      </c>
      <c r="C21" s="7"/>
      <c r="D21" s="7"/>
      <c r="E21" s="7"/>
      <c r="F21" s="7"/>
    </row>
    <row r="22" customFormat="false" ht="15" hidden="false" customHeight="true" outlineLevel="0" collapsed="false">
      <c r="A22" s="2"/>
      <c r="B22" s="10" t="s">
        <v>114</v>
      </c>
      <c r="C22" s="27" t="n">
        <f aca="false">C5*C7</f>
        <v>75</v>
      </c>
      <c r="D22" s="2"/>
      <c r="E22" s="2"/>
      <c r="F22" s="2"/>
    </row>
    <row r="23" customFormat="false" ht="15" hidden="false" customHeight="true" outlineLevel="0" collapsed="false">
      <c r="A23" s="2"/>
      <c r="B23" s="10" t="s">
        <v>115</v>
      </c>
      <c r="C23" s="27" t="n">
        <f aca="false">C5*C8</f>
        <v>25</v>
      </c>
      <c r="D23" s="2"/>
      <c r="E23" s="2"/>
      <c r="F23" s="2"/>
    </row>
    <row r="24" customFormat="false" ht="15" hidden="false" customHeight="true" outlineLevel="0" collapsed="false">
      <c r="A24" s="2"/>
      <c r="B24" s="8" t="s">
        <v>116</v>
      </c>
      <c r="C24" s="29" t="n">
        <f aca="false">C22*C10+C23*C11</f>
        <v>2025</v>
      </c>
      <c r="D24" s="2"/>
      <c r="E24" s="2"/>
      <c r="F24" s="2"/>
    </row>
    <row r="25" customFormat="false" ht="15" hidden="false" customHeight="true" outlineLevel="0" collapsed="false">
      <c r="A25" s="2"/>
      <c r="B25" s="10" t="s">
        <v>117</v>
      </c>
      <c r="C25" s="28" t="n">
        <f aca="false">C24*12</f>
        <v>24300</v>
      </c>
      <c r="D25" s="2"/>
      <c r="E25" s="2"/>
      <c r="F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</row>
    <row r="27" customFormat="false" ht="15" hidden="false" customHeight="true" outlineLevel="0" collapsed="false">
      <c r="A27" s="2"/>
      <c r="B27" s="10" t="s">
        <v>118</v>
      </c>
      <c r="C27" s="13" t="n">
        <f aca="false">Model!E18</f>
        <v>6.5</v>
      </c>
      <c r="D27" s="2"/>
      <c r="E27" s="2"/>
      <c r="F27" s="2"/>
    </row>
    <row r="28" customFormat="false" ht="15" hidden="false" customHeight="true" outlineLevel="0" collapsed="false">
      <c r="A28" s="2"/>
      <c r="B28" s="10" t="s">
        <v>119</v>
      </c>
      <c r="C28" s="13" t="n">
        <f aca="false">C18*Model!C18</f>
        <v>2.325</v>
      </c>
      <c r="D28" s="2"/>
      <c r="E28" s="2"/>
      <c r="F28" s="2"/>
    </row>
    <row r="29" customFormat="false" ht="15" hidden="false" customHeight="true" outlineLevel="0" collapsed="false">
      <c r="A29" s="2"/>
      <c r="B29" s="10" t="s">
        <v>120</v>
      </c>
      <c r="C29" s="13" t="n">
        <f aca="false">C19*Model!C18</f>
        <v>1.395</v>
      </c>
      <c r="D29" s="2"/>
      <c r="E29" s="2"/>
      <c r="F29" s="2"/>
    </row>
    <row r="30" customFormat="false" ht="15" hidden="false" customHeight="true" outlineLevel="0" collapsed="false">
      <c r="A30" s="2"/>
      <c r="B30" s="2"/>
      <c r="C30" s="2"/>
      <c r="D30" s="2"/>
      <c r="E30" s="2"/>
      <c r="F30" s="2"/>
    </row>
    <row r="31" customFormat="false" ht="15" hidden="false" customHeight="true" outlineLevel="0" collapsed="false">
      <c r="A31" s="2"/>
      <c r="B31" s="10" t="s">
        <v>121</v>
      </c>
      <c r="C31" s="27" t="n">
        <f aca="false">Model!D29*C14</f>
        <v>195</v>
      </c>
      <c r="D31" s="2"/>
      <c r="E31" s="2"/>
      <c r="F31" s="2"/>
    </row>
    <row r="32" customFormat="false" ht="15" hidden="false" customHeight="true" outlineLevel="0" collapsed="false">
      <c r="A32" s="2"/>
      <c r="B32" s="10" t="s">
        <v>122</v>
      </c>
      <c r="C32" s="27" t="n">
        <f aca="false">Model!D29*C15</f>
        <v>151.666666666667</v>
      </c>
      <c r="D32" s="2"/>
      <c r="E32" s="2"/>
      <c r="F32" s="2"/>
    </row>
    <row r="33" customFormat="false" ht="15" hidden="false" customHeight="true" outlineLevel="0" collapsed="false">
      <c r="A33" s="2"/>
      <c r="B33" s="10" t="s">
        <v>123</v>
      </c>
      <c r="C33" s="27" t="n">
        <f aca="false">Model!D29*C16</f>
        <v>86.6666666666666</v>
      </c>
      <c r="D33" s="2"/>
      <c r="E33" s="2"/>
      <c r="F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</row>
    <row r="35" customFormat="false" ht="15" hidden="false" customHeight="true" outlineLevel="0" collapsed="false">
      <c r="A35" s="2"/>
      <c r="B35" s="6" t="s">
        <v>124</v>
      </c>
      <c r="C35" s="26" t="s">
        <v>125</v>
      </c>
      <c r="D35" s="26" t="s">
        <v>126</v>
      </c>
      <c r="E35" s="26" t="s">
        <v>127</v>
      </c>
      <c r="F35" s="26" t="s">
        <v>128</v>
      </c>
    </row>
    <row r="36" customFormat="false" ht="15" hidden="false" customHeight="true" outlineLevel="0" collapsed="false">
      <c r="A36" s="2"/>
      <c r="B36" s="5" t="s">
        <v>129</v>
      </c>
      <c r="C36" s="5"/>
      <c r="D36" s="52" t="s">
        <v>130</v>
      </c>
      <c r="E36" s="52" t="s">
        <v>131</v>
      </c>
      <c r="F36" s="52" t="s">
        <v>132</v>
      </c>
    </row>
    <row r="37" customFormat="false" ht="15" hidden="false" customHeight="true" outlineLevel="0" collapsed="false">
      <c r="A37" s="2"/>
      <c r="B37" s="16" t="s">
        <v>133</v>
      </c>
      <c r="C37" s="28" t="n">
        <v>0</v>
      </c>
      <c r="D37" s="28" t="n">
        <f aca="false">C24</f>
        <v>2025</v>
      </c>
      <c r="E37" s="28" t="n">
        <f aca="false">C24</f>
        <v>2025</v>
      </c>
      <c r="F37" s="28" t="n">
        <f aca="false">C24</f>
        <v>2025</v>
      </c>
    </row>
    <row r="38" customFormat="false" ht="15" hidden="false" customHeight="true" outlineLevel="0" collapsed="false">
      <c r="A38" s="2"/>
      <c r="B38" s="16" t="s">
        <v>134</v>
      </c>
      <c r="C38" s="28" t="n">
        <f aca="false">Model!D29*Model!E18</f>
        <v>2816.66666666666</v>
      </c>
      <c r="D38" s="28" t="n">
        <f aca="false">C31*Model!E18+C32*C28+C33*C29</f>
        <v>1741.025</v>
      </c>
      <c r="E38" s="28" t="n">
        <f aca="false">Model!D29*Model!E18</f>
        <v>2816.66666666666</v>
      </c>
      <c r="F38" s="28" t="n">
        <f aca="false">C31*Model!E18</f>
        <v>1267.5</v>
      </c>
    </row>
    <row r="39" customFormat="false" ht="15" hidden="false" customHeight="true" outlineLevel="0" collapsed="false">
      <c r="A39" s="2"/>
      <c r="B39" s="53" t="s">
        <v>135</v>
      </c>
      <c r="C39" s="29" t="n">
        <f aca="false">C38+C37</f>
        <v>2816.66666666666</v>
      </c>
      <c r="D39" s="29" t="n">
        <f aca="false">D38+D37</f>
        <v>3766.025</v>
      </c>
      <c r="E39" s="29" t="n">
        <f aca="false">E38+E37</f>
        <v>4841.66666666666</v>
      </c>
      <c r="F39" s="29" t="n">
        <f aca="false">F38+F37</f>
        <v>3292.5</v>
      </c>
    </row>
    <row r="40" customFormat="false" ht="15" hidden="false" customHeight="true" outlineLevel="0" collapsed="false">
      <c r="A40" s="2"/>
      <c r="B40" s="16" t="s">
        <v>47</v>
      </c>
      <c r="C40" s="28" t="n">
        <f aca="false">Model!D38</f>
        <v>-2822.68333333333</v>
      </c>
      <c r="D40" s="28" t="n">
        <f aca="false">Model!D38</f>
        <v>-2822.68333333333</v>
      </c>
      <c r="E40" s="28" t="n">
        <f aca="false">Model!D38</f>
        <v>-2822.68333333333</v>
      </c>
      <c r="F40" s="28" t="n">
        <f aca="false">Model!D38</f>
        <v>-2822.68333333333</v>
      </c>
    </row>
    <row r="41" customFormat="false" ht="15" hidden="false" customHeight="true" outlineLevel="0" collapsed="false">
      <c r="A41" s="2"/>
      <c r="B41" s="6" t="s">
        <v>136</v>
      </c>
      <c r="C41" s="36" t="n">
        <f aca="false">C39+C40</f>
        <v>-6.01666666666779</v>
      </c>
      <c r="D41" s="36" t="n">
        <f aca="false">D39+D40</f>
        <v>943.341666666666</v>
      </c>
      <c r="E41" s="36" t="n">
        <f aca="false">E39+E40</f>
        <v>2018.98333333333</v>
      </c>
      <c r="F41" s="36" t="n">
        <f aca="false">F39+F40</f>
        <v>469.816666666667</v>
      </c>
    </row>
    <row r="42" customFormat="false" ht="15" hidden="false" customHeight="true" outlineLevel="0" collapsed="false">
      <c r="A42" s="2"/>
      <c r="B42" s="53" t="s">
        <v>137</v>
      </c>
      <c r="C42" s="54" t="n">
        <f aca="false">C41*12</f>
        <v>-72.2000000000135</v>
      </c>
      <c r="D42" s="54" t="n">
        <f aca="false">D41*12</f>
        <v>11320.1</v>
      </c>
      <c r="E42" s="54" t="n">
        <f aca="false">E41*12</f>
        <v>24227.8</v>
      </c>
      <c r="F42" s="54" t="n">
        <f aca="false">F41*12</f>
        <v>5637.8</v>
      </c>
    </row>
    <row r="43" customFormat="false" ht="15" hidden="false" customHeight="true" outlineLevel="0" collapsed="false">
      <c r="A43" s="2"/>
      <c r="B43" s="53" t="s">
        <v>138</v>
      </c>
      <c r="C43" s="55" t="s">
        <v>139</v>
      </c>
      <c r="D43" s="29" t="n">
        <f aca="false">(D41-$C$41)*12</f>
        <v>11392.3</v>
      </c>
      <c r="E43" s="29" t="n">
        <f aca="false">(E41-$C$41)*12</f>
        <v>24300</v>
      </c>
      <c r="F43" s="29" t="n">
        <f aca="false">(F41-$C$41)*12</f>
        <v>5710.00000000001</v>
      </c>
    </row>
    <row r="44" customFormat="false" ht="15" hidden="false" customHeight="true" outlineLevel="0" collapsed="false">
      <c r="A44" s="2"/>
      <c r="B44" s="16" t="s">
        <v>50</v>
      </c>
      <c r="C44" s="17" t="n">
        <f aca="false">IF(Model!D30=0,0,C39/Model!D30)</f>
        <v>0.139784946236559</v>
      </c>
      <c r="D44" s="17" t="n">
        <f aca="false">IF(Model!D30=0,0,D39/Model!D30)</f>
        <v>0.186899503722084</v>
      </c>
      <c r="E44" s="17" t="n">
        <f aca="false">IF(Model!D30=0,0,E39/Model!D30)</f>
        <v>0.240281224152192</v>
      </c>
      <c r="F44" s="17" t="n">
        <f aca="false">IF(Model!D30=0,0,F39/Model!D30)</f>
        <v>0.163399503722084</v>
      </c>
    </row>
    <row r="45" customFormat="false" ht="15" hidden="false" customHeight="true" outlineLevel="0" collapsed="false">
      <c r="A45" s="2"/>
      <c r="B45" s="16" t="s">
        <v>49</v>
      </c>
      <c r="C45" s="17" t="n">
        <f aca="false">IF(C39=0,0,C41/C39)</f>
        <v>-0.00213609467455661</v>
      </c>
      <c r="D45" s="17" t="n">
        <f aca="false">IF(D39=0,0,D41/D39)</f>
        <v>0.250487361785083</v>
      </c>
      <c r="E45" s="17" t="n">
        <f aca="false">IF(E39=0,0,E41/E39)</f>
        <v>0.417001721170396</v>
      </c>
      <c r="F45" s="17" t="n">
        <f aca="false">IF(F39=0,0,F41/F39)</f>
        <v>0.142692989116679</v>
      </c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</row>
    <row r="47" customFormat="false" ht="15" hidden="false" customHeight="true" outlineLevel="0" collapsed="false">
      <c r="A47" s="2"/>
      <c r="B47" s="5" t="s">
        <v>140</v>
      </c>
      <c r="C47" s="2"/>
      <c r="D47" s="2"/>
      <c r="E47" s="2"/>
      <c r="F47" s="2"/>
    </row>
    <row r="48" customFormat="false" ht="15" hidden="false" customHeight="true" outlineLevel="0" collapsed="false">
      <c r="A48" s="2"/>
      <c r="B48" s="5" t="s">
        <v>141</v>
      </c>
      <c r="C48" s="2"/>
      <c r="D48" s="2"/>
      <c r="E48" s="2"/>
      <c r="F48" s="2"/>
    </row>
    <row r="49" customFormat="false" ht="15" hidden="false" customHeight="true" outlineLevel="0" collapsed="false">
      <c r="A49" s="2"/>
      <c r="B49" s="5" t="s">
        <v>142</v>
      </c>
      <c r="C49" s="2"/>
      <c r="D49" s="2"/>
      <c r="E49" s="2"/>
      <c r="F49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2026-07-13T01:22:36Z</dcterms:created>
  <dc:creator>openpyxl</dc:creator>
  <dc:description/>
  <dc:language>en-US</dc:language>
  <cp:lastModifiedBy/>
  <dcterms:modified xsi:type="dcterms:W3CDTF">2026-07-13T19:25:05Z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